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in.cahill1\Documents\CMP316\Sendback 2025\"/>
    </mc:Choice>
  </mc:AlternateContent>
  <xr:revisionPtr revIDLastSave="0" documentId="13_ncr:1_{66AEB238-80EA-4733-B860-C05E9D169916}" xr6:coauthVersionLast="47" xr6:coauthVersionMax="47" xr10:uidLastSave="{00000000-0000-0000-0000-000000000000}"/>
  <bookViews>
    <workbookView xWindow="28680" yWindow="-120" windowWidth="29040" windowHeight="15840" tabRatio="728" xr2:uid="{497BCAC1-C106-4AA6-A07A-A46FC1D51881}"/>
  </bookViews>
  <sheets>
    <sheet name="New methodology WACM1" sheetId="9" r:id="rId1"/>
    <sheet name="WACM1 old methodology" sheetId="3" r:id="rId2"/>
    <sheet name="Technology Types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9" l="1"/>
  <c r="D6" i="3"/>
  <c r="E24" i="9" l="1"/>
  <c r="E25" i="9"/>
  <c r="E23" i="9"/>
  <c r="D23" i="9"/>
  <c r="B24" i="9"/>
  <c r="B23" i="9"/>
  <c r="B18" i="9"/>
  <c r="B17" i="9"/>
  <c r="B15" i="9"/>
  <c r="Y5" i="9"/>
  <c r="Y6" i="9"/>
  <c r="B25" i="9" s="1"/>
  <c r="Y4" i="9"/>
  <c r="C10" i="3"/>
  <c r="D10" i="3"/>
  <c r="E10" i="3"/>
  <c r="B10" i="3"/>
  <c r="H4" i="3"/>
  <c r="H3" i="3"/>
  <c r="E5" i="3"/>
  <c r="E6" i="3"/>
  <c r="E4" i="3"/>
  <c r="B5" i="3"/>
  <c r="C5" i="3"/>
  <c r="O5" i="3" s="1"/>
  <c r="D5" i="3"/>
  <c r="B6" i="3"/>
  <c r="C6" i="3"/>
  <c r="O6" i="3" s="1"/>
  <c r="C4" i="3"/>
  <c r="D4" i="3"/>
  <c r="B4" i="3"/>
  <c r="O4" i="3"/>
  <c r="P4" i="3" s="1"/>
  <c r="E6" i="9"/>
  <c r="F6" i="9" s="1"/>
  <c r="E4" i="9"/>
  <c r="E5" i="9"/>
  <c r="B21" i="3" l="1"/>
  <c r="I21" i="3" s="1"/>
  <c r="I13" i="9"/>
  <c r="B20" i="3"/>
  <c r="I20" i="3" s="1"/>
  <c r="B19" i="3"/>
  <c r="I19" i="3" s="1"/>
  <c r="P5" i="3"/>
  <c r="Q5" i="3"/>
  <c r="Q4" i="3"/>
  <c r="K13" i="3"/>
  <c r="K19" i="3" s="1"/>
  <c r="Q6" i="3"/>
  <c r="P6" i="3"/>
  <c r="F5" i="9"/>
  <c r="I12" i="9" s="1"/>
  <c r="F4" i="9"/>
  <c r="B16" i="9"/>
  <c r="C23" i="9" l="1"/>
  <c r="I11" i="9"/>
  <c r="J11" i="9" s="1"/>
  <c r="D25" i="9"/>
  <c r="C25" i="9"/>
  <c r="D24" i="9"/>
  <c r="C24" i="9"/>
  <c r="C14" i="3"/>
  <c r="G14" i="3" s="1"/>
  <c r="C20" i="3"/>
  <c r="G20" i="3" s="1"/>
  <c r="C15" i="3"/>
  <c r="G15" i="3" s="1"/>
  <c r="C13" i="3"/>
  <c r="G13" i="3" s="1"/>
  <c r="C21" i="3"/>
  <c r="G21" i="3" s="1"/>
  <c r="C19" i="3"/>
  <c r="G19" i="3" s="1"/>
  <c r="B25" i="3" s="1"/>
  <c r="E26" i="9"/>
  <c r="B33" i="9" s="1"/>
  <c r="B41" i="9" s="1"/>
  <c r="B26" i="9"/>
  <c r="B15" i="3"/>
  <c r="D15" i="3" s="1"/>
  <c r="B13" i="3"/>
  <c r="B14" i="3"/>
  <c r="I15" i="3" l="1"/>
  <c r="E27" i="3" s="1"/>
  <c r="K15" i="3"/>
  <c r="K21" i="3" s="1"/>
  <c r="B30" i="9"/>
  <c r="B38" i="9" s="1"/>
  <c r="B26" i="3"/>
  <c r="B27" i="3"/>
  <c r="D14" i="3"/>
  <c r="K14" i="3" s="1"/>
  <c r="K20" i="3" s="1"/>
  <c r="C26" i="9"/>
  <c r="D26" i="9"/>
  <c r="B32" i="9" s="1"/>
  <c r="B40" i="9" s="1"/>
  <c r="I13" i="3"/>
  <c r="E25" i="3" s="1"/>
  <c r="D13" i="3"/>
  <c r="I14" i="3"/>
  <c r="E26" i="3" s="1"/>
  <c r="B31" i="9" l="1"/>
  <c r="B39" i="9" s="1"/>
  <c r="B28" i="3"/>
  <c r="C38" i="9" s="1"/>
  <c r="D38" i="9" s="1"/>
  <c r="E28" i="3"/>
  <c r="L20" i="3"/>
  <c r="M20" i="3" s="1"/>
  <c r="L21" i="3"/>
  <c r="M21" i="3" s="1"/>
  <c r="L19" i="3"/>
  <c r="M19" i="3" s="1"/>
  <c r="H15" i="3"/>
  <c r="D21" i="3"/>
  <c r="H21" i="3" s="1"/>
  <c r="H13" i="3"/>
  <c r="D19" i="3"/>
  <c r="H19" i="3" s="1"/>
  <c r="H14" i="3"/>
  <c r="D20" i="3"/>
  <c r="H20" i="3" s="1"/>
  <c r="L15" i="3"/>
  <c r="M15" i="3" s="1"/>
  <c r="L13" i="3"/>
  <c r="M13" i="3" s="1"/>
  <c r="L14" i="3"/>
  <c r="M14" i="3" s="1"/>
  <c r="C41" i="9" l="1"/>
  <c r="D41" i="9" s="1"/>
  <c r="D26" i="3"/>
  <c r="B34" i="9"/>
  <c r="B42" i="9"/>
  <c r="D25" i="3"/>
  <c r="C25" i="3"/>
  <c r="C27" i="3"/>
  <c r="C26" i="3"/>
  <c r="O15" i="3"/>
  <c r="D27" i="3"/>
  <c r="O14" i="3"/>
  <c r="O13" i="3"/>
  <c r="D28" i="3" l="1"/>
  <c r="C28" i="3"/>
  <c r="C39" i="9" s="1"/>
  <c r="C40" i="9" l="1"/>
  <c r="D40" i="9" s="1"/>
  <c r="B31" i="3"/>
  <c r="C42" i="9" s="1"/>
  <c r="D42" i="9" s="1"/>
  <c r="D39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March, Grace</author>
  </authors>
  <commentList>
    <comment ref="M13" authorId="0" shapeId="0" xr:uid="{FF08300F-BC69-4D9D-A5C6-D9120BBF0338}">
      <text>
        <r>
          <rPr>
            <b/>
            <sz val="9"/>
            <color indexed="81"/>
            <rFont val="Tahoma"/>
            <family val="2"/>
          </rPr>
          <t>March, Grace:</t>
        </r>
        <r>
          <rPr>
            <sz val="9"/>
            <color indexed="81"/>
            <rFont val="Tahoma"/>
            <family val="2"/>
          </rPr>
          <t xml:space="preserve">
Intermittent and Conventional Low Carbon has ALFE of 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March, Grace</author>
  </authors>
  <commentList>
    <comment ref="K13" authorId="0" shapeId="0" xr:uid="{7BC591A7-7904-4A41-9358-79AFF7FFAFEF}">
      <text>
        <r>
          <rPr>
            <b/>
            <sz val="9"/>
            <color indexed="81"/>
            <rFont val="Tahoma"/>
            <family val="2"/>
          </rPr>
          <t>March, Grace:</t>
        </r>
        <r>
          <rPr>
            <sz val="9"/>
            <color indexed="81"/>
            <rFont val="Tahoma"/>
            <family val="2"/>
          </rPr>
          <t xml:space="preserve">
Intermittent and Conventional Low Carbon has ALFE of 1</t>
        </r>
      </text>
    </comment>
  </commentList>
</comments>
</file>

<file path=xl/sharedStrings.xml><?xml version="1.0" encoding="utf-8"?>
<sst xmlns="http://schemas.openxmlformats.org/spreadsheetml/2006/main" count="143" uniqueCount="83">
  <si>
    <t>BMU 1</t>
  </si>
  <si>
    <t>BMU 2</t>
  </si>
  <si>
    <t>BMU 3</t>
  </si>
  <si>
    <t>Max Capacity (MW)</t>
  </si>
  <si>
    <t>Fuel Type</t>
  </si>
  <si>
    <t>Annual exporting (MWh)</t>
  </si>
  <si>
    <t>CHP</t>
  </si>
  <si>
    <t>MTPSTEC (MW)</t>
  </si>
  <si>
    <t>TEC (MW)</t>
  </si>
  <si>
    <t>Peak Security</t>
  </si>
  <si>
    <t>Adjustment</t>
  </si>
  <si>
    <t>ALF</t>
  </si>
  <si>
    <t>CMP316 WACM1 - as worked example previously published</t>
  </si>
  <si>
    <t>MTPSTECPK (MW)</t>
  </si>
  <si>
    <t>Peak charge (£k)</t>
  </si>
  <si>
    <t>YRS charge (£k)</t>
  </si>
  <si>
    <t>YRNS charge (£k)</t>
  </si>
  <si>
    <t>Adjustment (£k)</t>
  </si>
  <si>
    <r>
      <t xml:space="preserve">Wider Tariffs (£/kw) </t>
    </r>
    <r>
      <rPr>
        <b/>
        <i/>
        <sz val="11"/>
        <color theme="1"/>
        <rFont val="Calibri"/>
        <family val="2"/>
        <scheme val="minor"/>
      </rPr>
      <t>For illustrative purposes only</t>
    </r>
  </si>
  <si>
    <t>YRS</t>
  </si>
  <si>
    <t>YRNS</t>
  </si>
  <si>
    <t>Total</t>
  </si>
  <si>
    <t>BMU1</t>
  </si>
  <si>
    <t>BMU2</t>
  </si>
  <si>
    <t>BMU3</t>
  </si>
  <si>
    <t>MTPSECS (MW)</t>
  </si>
  <si>
    <t>EALF</t>
  </si>
  <si>
    <t>Peak Charge</t>
  </si>
  <si>
    <t>Peak</t>
  </si>
  <si>
    <t>1) Calculate component charges based on TEC</t>
  </si>
  <si>
    <t>Peak Element</t>
  </si>
  <si>
    <t>Year Round Not Shared</t>
  </si>
  <si>
    <t>Year Round Shared</t>
  </si>
  <si>
    <t>must use combined ALF of child stations</t>
  </si>
  <si>
    <t>Site ALF</t>
  </si>
  <si>
    <t>Assume ALF = 1</t>
  </si>
  <si>
    <t>2) Calculate component charges based installed capacity</t>
  </si>
  <si>
    <t>Installed Capacity</t>
  </si>
  <si>
    <t>MTPSTEC</t>
  </si>
  <si>
    <t>For YRNS ALF is only used for Conventional Carbon</t>
  </si>
  <si>
    <t>Peak charge is zero for intermittent</t>
  </si>
  <si>
    <t>CMP316 WACM1 - Alternative methodology</t>
  </si>
  <si>
    <t>Check - compare against old methology</t>
  </si>
  <si>
    <t>New</t>
  </si>
  <si>
    <t>Old</t>
  </si>
  <si>
    <t>3) For each component take minimum of value calculated by TEC and value calculated by installed capacity</t>
  </si>
  <si>
    <t>Peak Element = Peak Tariff x TEC</t>
  </si>
  <si>
    <t>`</t>
  </si>
  <si>
    <t>Year Round Shared = YRS Tariff x TEC x Site ALF</t>
  </si>
  <si>
    <t>Year Not Round Shared = YRS Tariff x TEC</t>
  </si>
  <si>
    <t>Child Station Chargeable Capacity
(Average 3 highest)</t>
  </si>
  <si>
    <t>Chargeable Capacity</t>
  </si>
  <si>
    <t>Chargeable Capacity site</t>
  </si>
  <si>
    <t>Chargeable MTPSTEC (MW)</t>
  </si>
  <si>
    <t>Chargeable MTPSTECPK (MW)</t>
  </si>
  <si>
    <t>Intermittent</t>
  </si>
  <si>
    <t>Tidal</t>
  </si>
  <si>
    <t>Solar</t>
  </si>
  <si>
    <t>Conventional Low Carbon</t>
  </si>
  <si>
    <t>Nuclear</t>
  </si>
  <si>
    <t>Hydro</t>
  </si>
  <si>
    <t>Conventional Carbon</t>
  </si>
  <si>
    <t>Biomass</t>
  </si>
  <si>
    <t>OCGT</t>
  </si>
  <si>
    <t>Coal</t>
  </si>
  <si>
    <t>Oil</t>
  </si>
  <si>
    <t>Pumped Storage</t>
  </si>
  <si>
    <t>Battery Storage</t>
  </si>
  <si>
    <t>CCGT</t>
  </si>
  <si>
    <t>Reactive Compensation</t>
  </si>
  <si>
    <t>Offshore Wind</t>
  </si>
  <si>
    <t>Onshore Wind</t>
  </si>
  <si>
    <t>Charging Type</t>
  </si>
  <si>
    <t>Peak calc installed capacity</t>
  </si>
  <si>
    <t>Peak calc chargeable cap</t>
  </si>
  <si>
    <t>ALF (unchanged)</t>
  </si>
  <si>
    <t>Charges</t>
  </si>
  <si>
    <t>If tariff positive</t>
  </si>
  <si>
    <t>If tariff negative</t>
  </si>
  <si>
    <t>Total Charge</t>
  </si>
  <si>
    <t>Technology type</t>
  </si>
  <si>
    <t>If tariff positive use TEC, if negative use chargeable capacity</t>
  </si>
  <si>
    <t>*differ from old methodology in not using chargeable when negative?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</si>
</sst>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£&quot;* #,##0.00_-;\-&quot;£&quot;* #,##0.00_-;_-&quot;£&quot;* &quot;-&quot;??_-;_-@_-"/>
    <numFmt numFmtId="164" formatCode="0.0"/>
    <numFmt numFmtId="165" formatCode="&quot;£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164" fontId="0" fillId="0" borderId="0" xfId="0" applyNumberFormat="1"/>
    <xf numFmtId="0" fontId="0" fillId="0" borderId="1" xfId="0" applyBorder="1"/>
    <xf numFmtId="3" fontId="0" fillId="0" borderId="1" xfId="0" applyNumberFormat="1" applyBorder="1"/>
    <xf numFmtId="9" fontId="0" fillId="0" borderId="0" xfId="2" applyFont="1"/>
    <xf numFmtId="44" fontId="0" fillId="0" borderId="0" xfId="1" applyFont="1"/>
    <xf numFmtId="44" fontId="0" fillId="0" borderId="0" xfId="0" applyNumberFormat="1"/>
    <xf numFmtId="0" fontId="2" fillId="0" borderId="0" xfId="0" applyFont="1"/>
    <xf numFmtId="0" fontId="8" fillId="0" borderId="1" xfId="0" applyFont="1" applyBorder="1"/>
    <xf numFmtId="165" fontId="0" fillId="0" borderId="0" xfId="0" applyNumberFormat="1"/>
    <xf numFmtId="0" fontId="0" fillId="0" borderId="2" xfId="0" applyBorder="1"/>
    <xf numFmtId="0" fontId="8" fillId="0" borderId="0" xfId="0" applyFont="1"/>
    <xf numFmtId="10" fontId="0" fillId="0" borderId="0" xfId="0" applyNumberFormat="1"/>
    <xf numFmtId="0" fontId="9" fillId="0" borderId="0" xfId="0" applyFont="1"/>
    <xf numFmtId="165" fontId="10" fillId="0" borderId="0" xfId="0" applyNumberFormat="1" applyFont="1"/>
    <xf numFmtId="165" fontId="3" fillId="0" borderId="0" xfId="0" applyNumberFormat="1" applyFont="1"/>
    <xf numFmtId="0" fontId="7" fillId="0" borderId="0" xfId="0" applyFont="1"/>
    <xf numFmtId="0" fontId="0" fillId="0" borderId="2" xfId="0" applyBorder="1" applyAlignment="1">
      <alignment wrapText="1"/>
    </xf>
    <xf numFmtId="0" fontId="11" fillId="0" borderId="0" xfId="0" applyFont="1"/>
    <xf numFmtId="9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31634</xdr:colOff>
      <xdr:row>1</xdr:row>
      <xdr:rowOff>176412</xdr:rowOff>
    </xdr:from>
    <xdr:to>
      <xdr:col>21</xdr:col>
      <xdr:colOff>456327</xdr:colOff>
      <xdr:row>19</xdr:row>
      <xdr:rowOff>29750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361D9E-7C92-4E39-A5A5-0E91113DC6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89465" y="360026"/>
          <a:ext cx="4797013" cy="35173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E0FE4-DDD2-47D8-B7D0-589ECDCA0E92}">
  <dimension ref="A1:Y42"/>
  <sheetViews>
    <sheetView tabSelected="1" zoomScale="83" workbookViewId="0">
      <selection activeCell="I35" sqref="I35"/>
    </sheetView>
  </sheetViews>
  <sheetFormatPr defaultRowHeight="14.5" x14ac:dyDescent="0.35"/>
  <cols>
    <col min="1" max="1" width="22.08984375" customWidth="1"/>
    <col min="2" max="2" width="12.81640625" customWidth="1"/>
    <col min="3" max="3" width="13" customWidth="1"/>
    <col min="4" max="4" width="24.90625" customWidth="1"/>
    <col min="5" max="5" width="10.08984375" customWidth="1"/>
    <col min="7" max="7" width="24.1796875" customWidth="1"/>
    <col min="15" max="15" width="8.81640625" bestFit="1" customWidth="1"/>
    <col min="17" max="17" width="10.1796875" bestFit="1" customWidth="1"/>
    <col min="25" max="25" width="12.90625" customWidth="1"/>
    <col min="26" max="29" width="8.81640625" bestFit="1" customWidth="1"/>
    <col min="31" max="32" width="8.81640625" bestFit="1" customWidth="1"/>
  </cols>
  <sheetData>
    <row r="1" spans="1:25" x14ac:dyDescent="0.35">
      <c r="A1" s="1" t="s">
        <v>41</v>
      </c>
    </row>
    <row r="3" spans="1:25" ht="42.5" customHeight="1" x14ac:dyDescent="0.35">
      <c r="A3" s="3"/>
      <c r="B3" s="3" t="s">
        <v>37</v>
      </c>
      <c r="C3" s="3" t="s">
        <v>4</v>
      </c>
      <c r="D3" s="3" t="s">
        <v>5</v>
      </c>
      <c r="E3" s="11" t="s">
        <v>38</v>
      </c>
      <c r="F3" s="11" t="s">
        <v>11</v>
      </c>
      <c r="G3" s="18" t="s">
        <v>50</v>
      </c>
      <c r="I3" t="s">
        <v>8</v>
      </c>
      <c r="J3">
        <v>60</v>
      </c>
      <c r="L3" t="s">
        <v>34</v>
      </c>
      <c r="M3">
        <f>(D4+D5+D6)/(J3*24*365)</f>
        <v>0.79908675799086759</v>
      </c>
      <c r="Y3" t="s">
        <v>80</v>
      </c>
    </row>
    <row r="4" spans="1:25" x14ac:dyDescent="0.35">
      <c r="A4" s="3" t="s">
        <v>0</v>
      </c>
      <c r="B4" s="3">
        <v>50</v>
      </c>
      <c r="C4" s="3" t="s">
        <v>71</v>
      </c>
      <c r="D4" s="4">
        <v>135000</v>
      </c>
      <c r="E4">
        <f>IF(SUM(B4:B6)&gt;J3,((B4/(B$4+B$5+B$6))*J$3),B4)</f>
        <v>28.571428571428569</v>
      </c>
      <c r="F4" s="13">
        <f>D4/(E4*24*365)</f>
        <v>0.53938356164383572</v>
      </c>
      <c r="G4">
        <v>45</v>
      </c>
      <c r="I4" t="s">
        <v>52</v>
      </c>
      <c r="J4">
        <v>54</v>
      </c>
      <c r="Y4" t="str">
        <f>VLOOKUP(C4,'Technology Types'!$B$4:$C$18,2,FALSE)</f>
        <v>Intermittent</v>
      </c>
    </row>
    <row r="5" spans="1:25" x14ac:dyDescent="0.35">
      <c r="A5" s="3" t="s">
        <v>1</v>
      </c>
      <c r="B5" s="3">
        <v>40</v>
      </c>
      <c r="C5" s="3" t="s">
        <v>6</v>
      </c>
      <c r="D5" s="4">
        <v>250000</v>
      </c>
      <c r="E5">
        <f>IF(SUM(B4:B6)&gt;J3,((B5/(B$4+B$5+B$6))*J$3),B5)</f>
        <v>22.857142857142854</v>
      </c>
      <c r="F5" s="13">
        <f t="shared" ref="F5" si="0">D5/(E5*24*365)</f>
        <v>1.2485730593607309</v>
      </c>
      <c r="G5">
        <v>36</v>
      </c>
      <c r="Y5" t="str">
        <f>VLOOKUP(C5,'Technology Types'!$B$4:$C$18,2,FALSE)</f>
        <v>Conventional Carbon</v>
      </c>
    </row>
    <row r="6" spans="1:25" x14ac:dyDescent="0.35">
      <c r="A6" s="3" t="s">
        <v>2</v>
      </c>
      <c r="B6" s="3">
        <v>15</v>
      </c>
      <c r="C6" s="3" t="s">
        <v>67</v>
      </c>
      <c r="D6" s="4">
        <v>35000</v>
      </c>
      <c r="E6">
        <f>IF(SUM(B4:B6)&gt;J3,((B6/(B$4+B$5+B$6))*J$3),B6)</f>
        <v>8.5714285714285712</v>
      </c>
      <c r="F6" s="13">
        <f>IF(B6=0,0,(D6/(E6*24*365)))</f>
        <v>0.46613394216133941</v>
      </c>
      <c r="G6">
        <v>13.5</v>
      </c>
      <c r="Y6" t="str">
        <f>VLOOKUP(C6,'Technology Types'!$B$4:$C$18,2,FALSE)</f>
        <v>Conventional Carbon</v>
      </c>
    </row>
    <row r="8" spans="1:25" x14ac:dyDescent="0.35">
      <c r="A8" s="1" t="s">
        <v>18</v>
      </c>
    </row>
    <row r="9" spans="1:25" x14ac:dyDescent="0.35">
      <c r="A9" s="1"/>
      <c r="B9" s="3" t="s">
        <v>9</v>
      </c>
      <c r="C9" s="3" t="s">
        <v>19</v>
      </c>
      <c r="D9" s="3" t="s">
        <v>20</v>
      </c>
      <c r="E9" s="3" t="s">
        <v>10</v>
      </c>
    </row>
    <row r="10" spans="1:25" x14ac:dyDescent="0.35">
      <c r="A10" s="1"/>
      <c r="B10" s="9">
        <v>5</v>
      </c>
      <c r="C10" s="9">
        <v>15</v>
      </c>
      <c r="D10" s="9">
        <v>12</v>
      </c>
      <c r="E10" s="9">
        <v>1</v>
      </c>
      <c r="F10" s="12"/>
      <c r="G10" s="12"/>
      <c r="H10" s="12"/>
    </row>
    <row r="11" spans="1:25" x14ac:dyDescent="0.35">
      <c r="I11">
        <f>B4*F4</f>
        <v>26.969178082191785</v>
      </c>
      <c r="J11">
        <f>SUM(I11:I13)</f>
        <v>83.904109589041113</v>
      </c>
    </row>
    <row r="12" spans="1:25" x14ac:dyDescent="0.35">
      <c r="I12">
        <f t="shared" ref="I12:I13" si="1">B5*F5</f>
        <v>49.942922374429237</v>
      </c>
    </row>
    <row r="13" spans="1:25" x14ac:dyDescent="0.35">
      <c r="A13" s="17" t="s">
        <v>29</v>
      </c>
      <c r="B13" s="2"/>
      <c r="C13" s="8" t="s">
        <v>81</v>
      </c>
      <c r="D13" s="5"/>
      <c r="I13">
        <f t="shared" si="1"/>
        <v>6.9920091324200913</v>
      </c>
      <c r="J13" s="6"/>
      <c r="K13" s="6"/>
      <c r="M13" s="5"/>
      <c r="N13" s="2"/>
      <c r="O13" s="6"/>
      <c r="Q13" s="7"/>
    </row>
    <row r="14" spans="1:25" x14ac:dyDescent="0.35">
      <c r="B14" s="2"/>
      <c r="D14" s="5"/>
      <c r="I14" s="6"/>
      <c r="J14" s="6"/>
      <c r="K14" s="6"/>
      <c r="M14" s="5"/>
      <c r="N14" s="2"/>
      <c r="O14" s="6"/>
      <c r="Q14" s="7"/>
    </row>
    <row r="15" spans="1:25" x14ac:dyDescent="0.35">
      <c r="A15" t="s">
        <v>30</v>
      </c>
      <c r="B15" s="10">
        <f>IF(B10&gt;0,(J3*B10),(J4*B10))</f>
        <v>300</v>
      </c>
      <c r="D15" s="5"/>
      <c r="F15" s="8" t="s">
        <v>46</v>
      </c>
      <c r="G15" s="8"/>
      <c r="I15" s="6"/>
      <c r="J15" s="6"/>
      <c r="K15" s="6"/>
      <c r="M15" s="5"/>
      <c r="N15" s="2"/>
      <c r="O15" s="6"/>
      <c r="Q15" s="7"/>
    </row>
    <row r="16" spans="1:25" x14ac:dyDescent="0.35">
      <c r="A16" t="s">
        <v>32</v>
      </c>
      <c r="B16" s="10">
        <f>IF(C10&gt;0,(J3*M3*C10),(J4*M3*C10))</f>
        <v>719.17808219178085</v>
      </c>
      <c r="C16" s="8" t="s">
        <v>33</v>
      </c>
      <c r="F16" s="8" t="s">
        <v>48</v>
      </c>
      <c r="G16" s="8"/>
      <c r="J16" s="7"/>
      <c r="O16" s="7"/>
    </row>
    <row r="17" spans="1:17" x14ac:dyDescent="0.35">
      <c r="A17" t="s">
        <v>31</v>
      </c>
      <c r="B17" s="10">
        <f>IF(D10&gt;0,(J3*D10),(J4*D10))</f>
        <v>720</v>
      </c>
      <c r="C17" s="8" t="s">
        <v>35</v>
      </c>
      <c r="F17" s="8" t="s">
        <v>49</v>
      </c>
      <c r="G17" s="8"/>
      <c r="Q17" s="7"/>
    </row>
    <row r="18" spans="1:17" x14ac:dyDescent="0.35">
      <c r="A18" t="s">
        <v>10</v>
      </c>
      <c r="B18" s="10">
        <f>IF(E10&gt;0,(J3*E10),(J4*E10))</f>
        <v>60</v>
      </c>
      <c r="C18" s="14" t="s">
        <v>82</v>
      </c>
      <c r="F18" s="8"/>
      <c r="G18" s="8"/>
      <c r="Q18" s="7"/>
    </row>
    <row r="19" spans="1:17" x14ac:dyDescent="0.35">
      <c r="Q19" s="7"/>
    </row>
    <row r="20" spans="1:17" x14ac:dyDescent="0.35">
      <c r="A20" s="17" t="s">
        <v>36</v>
      </c>
    </row>
    <row r="22" spans="1:17" x14ac:dyDescent="0.35">
      <c r="B22" t="s">
        <v>28</v>
      </c>
      <c r="C22" t="s">
        <v>19</v>
      </c>
      <c r="D22" t="s">
        <v>20</v>
      </c>
      <c r="E22" t="s">
        <v>10</v>
      </c>
      <c r="F22" s="14" t="s">
        <v>39</v>
      </c>
      <c r="G22" s="14"/>
    </row>
    <row r="23" spans="1:17" x14ac:dyDescent="0.35">
      <c r="A23" t="s">
        <v>22</v>
      </c>
      <c r="B23" s="10">
        <f>IF(Y4="Intermittent",0,IF($B$10&gt;0,(B4*$B$10),(G4*$B$10)))</f>
        <v>0</v>
      </c>
      <c r="C23" s="10">
        <f>IF($C$10&gt;0,(B4*$C$10*F4),(G4*$C$10*F4))</f>
        <v>404.53767123287679</v>
      </c>
      <c r="D23" s="10">
        <f>IF(Y4="Intermittent",(IF($D$10&gt;0,(B4*$D$10),(G4*$D$10))),(IF($D$10&gt;0,(B4*$D$10*F4),(G4*$D$10*F4))))</f>
        <v>600</v>
      </c>
      <c r="E23" s="10">
        <f>IF($E$10&gt;0,(B4*$E$10),(G4*$E$10))</f>
        <v>50</v>
      </c>
      <c r="F23" s="14" t="s">
        <v>40</v>
      </c>
      <c r="G23" s="14"/>
    </row>
    <row r="24" spans="1:17" x14ac:dyDescent="0.35">
      <c r="A24" t="s">
        <v>23</v>
      </c>
      <c r="B24" s="10">
        <f t="shared" ref="B24:B25" si="2">IF(Y5="Intermittent",0,IF($B$10&gt;0,(B5*$B$10),(G5*$B$10)))</f>
        <v>200</v>
      </c>
      <c r="C24" s="10">
        <f t="shared" ref="C24:C25" si="3">IF($C$10&gt;0,(B5*$C$10*F5),(G5*$C$10*F5))</f>
        <v>749.14383561643854</v>
      </c>
      <c r="D24" s="10">
        <f t="shared" ref="D24:D25" si="4">IF(Y5="Intermittent",(IF($D$10&gt;0,(B5*$D$10),(G5*$D$10))),(IF($D$10&gt;0,(B5*$D$10*F5),(G5*$D$10*F5))))</f>
        <v>599.31506849315087</v>
      </c>
      <c r="E24" s="10">
        <f t="shared" ref="E24:E25" si="5">IF($E$10&gt;0,(B5*$E$10),(G5*$E$10))</f>
        <v>40</v>
      </c>
      <c r="I24" s="1"/>
    </row>
    <row r="25" spans="1:17" x14ac:dyDescent="0.35">
      <c r="A25" t="s">
        <v>24</v>
      </c>
      <c r="B25" s="10">
        <f t="shared" si="2"/>
        <v>75</v>
      </c>
      <c r="C25" s="10">
        <f t="shared" si="3"/>
        <v>104.88013698630137</v>
      </c>
      <c r="D25" s="10">
        <f t="shared" si="4"/>
        <v>83.904109589041099</v>
      </c>
      <c r="E25" s="10">
        <f t="shared" si="5"/>
        <v>15</v>
      </c>
      <c r="J25" t="s">
        <v>47</v>
      </c>
    </row>
    <row r="26" spans="1:17" x14ac:dyDescent="0.35">
      <c r="A26" t="s">
        <v>21</v>
      </c>
      <c r="B26" s="16">
        <f>SUM(B23:B25)</f>
        <v>275</v>
      </c>
      <c r="C26" s="16">
        <f t="shared" ref="C26:E26" si="6">SUM(C23:C25)</f>
        <v>1258.5616438356167</v>
      </c>
      <c r="D26" s="16">
        <f t="shared" si="6"/>
        <v>1283.219178082192</v>
      </c>
      <c r="E26" s="16">
        <f t="shared" si="6"/>
        <v>105</v>
      </c>
    </row>
    <row r="27" spans="1:17" x14ac:dyDescent="0.35">
      <c r="B27" s="10"/>
      <c r="C27" s="10"/>
    </row>
    <row r="28" spans="1:17" x14ac:dyDescent="0.35">
      <c r="A28" s="17" t="s">
        <v>45</v>
      </c>
    </row>
    <row r="29" spans="1:17" x14ac:dyDescent="0.35">
      <c r="B29" s="10"/>
      <c r="C29" s="10"/>
      <c r="N29" s="8"/>
    </row>
    <row r="30" spans="1:17" x14ac:dyDescent="0.35">
      <c r="A30" t="s">
        <v>27</v>
      </c>
      <c r="B30" s="10">
        <f>IF(B10&gt;0,(MIN(B15,B26)),(MAX(B15,B26)))</f>
        <v>275</v>
      </c>
    </row>
    <row r="31" spans="1:17" x14ac:dyDescent="0.35">
      <c r="A31" t="s">
        <v>32</v>
      </c>
      <c r="B31" s="10">
        <f>IF(C10&gt;0,(MIN(B16,C26)),(MAX(B16,C26)))</f>
        <v>719.17808219178085</v>
      </c>
    </row>
    <row r="32" spans="1:17" x14ac:dyDescent="0.35">
      <c r="A32" t="s">
        <v>31</v>
      </c>
      <c r="B32" s="10">
        <f>IF(D10&gt;0,(MIN(B17,D26)),(MAX(B17,D26)))</f>
        <v>720</v>
      </c>
    </row>
    <row r="33" spans="1:4" x14ac:dyDescent="0.35">
      <c r="A33" t="s">
        <v>10</v>
      </c>
      <c r="B33" s="15">
        <f>IF(E10&gt;0,(MIN(B18,E26)),(MAX(B18,E26)))</f>
        <v>60</v>
      </c>
    </row>
    <row r="34" spans="1:4" x14ac:dyDescent="0.35">
      <c r="A34" t="s">
        <v>21</v>
      </c>
      <c r="B34" s="15">
        <f>SUM(B30:B33)</f>
        <v>1774.178082191781</v>
      </c>
    </row>
    <row r="35" spans="1:4" x14ac:dyDescent="0.35">
      <c r="B35" s="8"/>
    </row>
    <row r="36" spans="1:4" x14ac:dyDescent="0.35">
      <c r="A36" s="17" t="s">
        <v>42</v>
      </c>
    </row>
    <row r="37" spans="1:4" x14ac:dyDescent="0.35">
      <c r="B37" t="s">
        <v>43</v>
      </c>
      <c r="C37" t="s">
        <v>44</v>
      </c>
    </row>
    <row r="38" spans="1:4" x14ac:dyDescent="0.35">
      <c r="A38" t="s">
        <v>27</v>
      </c>
      <c r="B38" s="10">
        <f>B30</f>
        <v>275</v>
      </c>
      <c r="C38" s="10">
        <f>'WACM1 old methodology'!B28</f>
        <v>275</v>
      </c>
      <c r="D38" t="str">
        <f>IF(B38=C38,"MATCH","NON MATCH")</f>
        <v>MATCH</v>
      </c>
    </row>
    <row r="39" spans="1:4" x14ac:dyDescent="0.35">
      <c r="A39" t="s">
        <v>32</v>
      </c>
      <c r="B39" s="10">
        <f t="shared" ref="B39:B41" si="7">B31</f>
        <v>719.17808219178085</v>
      </c>
      <c r="C39" s="10">
        <f>'WACM1 old methodology'!C28</f>
        <v>719.17808219178085</v>
      </c>
      <c r="D39" t="str">
        <f t="shared" ref="D39:D42" si="8">IF(B39=C39,"MATCH","NON MATCH")</f>
        <v>MATCH</v>
      </c>
    </row>
    <row r="40" spans="1:4" x14ac:dyDescent="0.35">
      <c r="A40" t="s">
        <v>31</v>
      </c>
      <c r="B40" s="10">
        <f t="shared" si="7"/>
        <v>720</v>
      </c>
      <c r="C40" s="10">
        <f>'WACM1 old methodology'!D28</f>
        <v>720</v>
      </c>
      <c r="D40" t="str">
        <f t="shared" si="8"/>
        <v>MATCH</v>
      </c>
    </row>
    <row r="41" spans="1:4" x14ac:dyDescent="0.35">
      <c r="A41" t="s">
        <v>10</v>
      </c>
      <c r="B41" s="10">
        <f t="shared" si="7"/>
        <v>60</v>
      </c>
      <c r="C41" s="10">
        <f>'WACM1 old methodology'!E28</f>
        <v>59.999999999999993</v>
      </c>
      <c r="D41" t="str">
        <f t="shared" si="8"/>
        <v>MATCH</v>
      </c>
    </row>
    <row r="42" spans="1:4" x14ac:dyDescent="0.35">
      <c r="A42" t="s">
        <v>21</v>
      </c>
      <c r="B42" s="10">
        <f>SUM(B38:B41)</f>
        <v>1774.178082191781</v>
      </c>
      <c r="C42" s="10">
        <f>'WACM1 old methodology'!B31</f>
        <v>1774.178082191781</v>
      </c>
      <c r="D42" t="str">
        <f t="shared" si="8"/>
        <v>MATCH</v>
      </c>
    </row>
  </sheetData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612D22-FB55-46FC-963D-9D06717EB268}">
          <x14:formula1>
            <xm:f>'Technology Types'!$B$4:$B$18</xm:f>
          </x14:formula1>
          <xm:sqref>C4:C6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DA087-96E9-45A0-B0B5-6B4D44C8512B}">
  <dimension ref="A1:Q31"/>
  <sheetViews>
    <sheetView workbookViewId="0">
      <selection activeCell="G13" sqref="G13:G15"/>
    </sheetView>
  </sheetViews>
  <sheetFormatPr defaultRowHeight="14.5" x14ac:dyDescent="0.35"/>
  <cols>
    <col min="2" max="2" width="20.90625" customWidth="1"/>
    <col min="3" max="3" width="12.453125" customWidth="1"/>
    <col min="4" max="4" width="21.90625" customWidth="1"/>
    <col min="5" max="5" width="18.1796875" customWidth="1"/>
    <col min="7" max="7" width="14.453125" bestFit="1" customWidth="1"/>
    <col min="9" max="9" width="14.1796875" bestFit="1" customWidth="1"/>
    <col min="10" max="10" width="14.1796875" customWidth="1"/>
    <col min="12" max="13" width="14.81640625" bestFit="1" customWidth="1"/>
    <col min="14" max="14" width="10.1796875" bestFit="1" customWidth="1"/>
    <col min="15" max="15" width="10.54296875" customWidth="1"/>
  </cols>
  <sheetData>
    <row r="1" spans="1:17" x14ac:dyDescent="0.35">
      <c r="A1" s="1" t="s">
        <v>12</v>
      </c>
    </row>
    <row r="3" spans="1:17" ht="39" customHeight="1" x14ac:dyDescent="0.35">
      <c r="A3" s="3"/>
      <c r="B3" s="3" t="s">
        <v>3</v>
      </c>
      <c r="C3" s="3" t="s">
        <v>4</v>
      </c>
      <c r="D3" s="3" t="s">
        <v>5</v>
      </c>
      <c r="E3" s="18" t="s">
        <v>50</v>
      </c>
      <c r="G3" t="s">
        <v>8</v>
      </c>
      <c r="H3">
        <f>'New methodology WACM1'!J3</f>
        <v>60</v>
      </c>
      <c r="O3" s="19" t="s">
        <v>72</v>
      </c>
      <c r="P3" t="s">
        <v>73</v>
      </c>
      <c r="Q3" t="s">
        <v>74</v>
      </c>
    </row>
    <row r="4" spans="1:17" x14ac:dyDescent="0.35">
      <c r="A4" s="3" t="s">
        <v>0</v>
      </c>
      <c r="B4" s="3">
        <f>'New methodology WACM1'!B4</f>
        <v>50</v>
      </c>
      <c r="C4" s="3" t="str">
        <f>'New methodology WACM1'!C4</f>
        <v>Onshore Wind</v>
      </c>
      <c r="D4" s="3">
        <f>'New methodology WACM1'!D4</f>
        <v>135000</v>
      </c>
      <c r="E4">
        <f>'New methodology WACM1'!G4</f>
        <v>45</v>
      </c>
      <c r="G4" t="s">
        <v>51</v>
      </c>
      <c r="H4">
        <f>'New methodology WACM1'!J4</f>
        <v>54</v>
      </c>
      <c r="O4" s="19" t="str">
        <f>VLOOKUP(C4,'Technology Types'!$B$4:$C$18,2,FALSE)</f>
        <v>Intermittent</v>
      </c>
      <c r="P4">
        <f>IF(O4="Intermittent",0,B4)</f>
        <v>0</v>
      </c>
      <c r="Q4">
        <f>IF(O4="Intermittent",0,E4)</f>
        <v>0</v>
      </c>
    </row>
    <row r="5" spans="1:17" x14ac:dyDescent="0.35">
      <c r="A5" s="3" t="s">
        <v>1</v>
      </c>
      <c r="B5" s="3">
        <f>'New methodology WACM1'!B5</f>
        <v>40</v>
      </c>
      <c r="C5" s="3" t="str">
        <f>'New methodology WACM1'!C5</f>
        <v>CHP</v>
      </c>
      <c r="D5" s="3">
        <f>'New methodology WACM1'!D5</f>
        <v>250000</v>
      </c>
      <c r="E5">
        <f>'New methodology WACM1'!G5</f>
        <v>36</v>
      </c>
      <c r="O5" s="19" t="str">
        <f>VLOOKUP(C5,'Technology Types'!$B$4:$C$18,2,FALSE)</f>
        <v>Conventional Carbon</v>
      </c>
      <c r="P5">
        <f t="shared" ref="P5:P6" si="0">IF(O5="Intermittent",0,B5)</f>
        <v>40</v>
      </c>
      <c r="Q5">
        <f t="shared" ref="Q5:Q6" si="1">IF(O5="Intermittent",0,E5)</f>
        <v>36</v>
      </c>
    </row>
    <row r="6" spans="1:17" x14ac:dyDescent="0.35">
      <c r="A6" s="3" t="s">
        <v>2</v>
      </c>
      <c r="B6" s="3">
        <f>'New methodology WACM1'!B6</f>
        <v>15</v>
      </c>
      <c r="C6" s="3" t="str">
        <f>'New methodology WACM1'!C6</f>
        <v>Battery Storage</v>
      </c>
      <c r="D6" s="3">
        <f>'New methodology WACM1'!D6</f>
        <v>35000</v>
      </c>
      <c r="E6">
        <f>'New methodology WACM1'!G6</f>
        <v>13.5</v>
      </c>
      <c r="O6" s="19" t="str">
        <f>VLOOKUP(C6,'Technology Types'!$B$4:$C$18,2,FALSE)</f>
        <v>Conventional Carbon</v>
      </c>
      <c r="P6">
        <f t="shared" si="0"/>
        <v>15</v>
      </c>
      <c r="Q6">
        <f t="shared" si="1"/>
        <v>13.5</v>
      </c>
    </row>
    <row r="7" spans="1:17" x14ac:dyDescent="0.35">
      <c r="O7" s="19"/>
    </row>
    <row r="8" spans="1:17" x14ac:dyDescent="0.35">
      <c r="A8" s="1" t="s">
        <v>18</v>
      </c>
    </row>
    <row r="9" spans="1:17" x14ac:dyDescent="0.35">
      <c r="A9" s="1"/>
      <c r="B9" s="3" t="s">
        <v>9</v>
      </c>
      <c r="C9" s="3" t="s">
        <v>19</v>
      </c>
      <c r="D9" s="3" t="s">
        <v>20</v>
      </c>
      <c r="E9" s="3" t="s">
        <v>10</v>
      </c>
    </row>
    <row r="10" spans="1:17" x14ac:dyDescent="0.35">
      <c r="A10" s="1"/>
      <c r="B10" s="9">
        <f>'New methodology WACM1'!B10</f>
        <v>5</v>
      </c>
      <c r="C10" s="9">
        <f>'New methodology WACM1'!C10</f>
        <v>15</v>
      </c>
      <c r="D10" s="9">
        <f>'New methodology WACM1'!D10</f>
        <v>12</v>
      </c>
      <c r="E10" s="9">
        <f>'New methodology WACM1'!E10</f>
        <v>1</v>
      </c>
      <c r="F10" s="12"/>
    </row>
    <row r="12" spans="1:17" x14ac:dyDescent="0.35">
      <c r="A12" t="s">
        <v>77</v>
      </c>
      <c r="B12" t="s">
        <v>7</v>
      </c>
      <c r="C12" t="s">
        <v>13</v>
      </c>
      <c r="D12" t="s">
        <v>11</v>
      </c>
      <c r="G12" t="s">
        <v>14</v>
      </c>
      <c r="H12" t="s">
        <v>15</v>
      </c>
      <c r="I12" t="s">
        <v>17</v>
      </c>
      <c r="K12" t="s">
        <v>26</v>
      </c>
      <c r="L12" t="s">
        <v>25</v>
      </c>
      <c r="M12" t="s">
        <v>16</v>
      </c>
    </row>
    <row r="13" spans="1:17" x14ac:dyDescent="0.35">
      <c r="A13" t="s">
        <v>0</v>
      </c>
      <c r="B13" s="2">
        <f>IF(SUM($B$4:$B$6)&gt;$H$3,B4/SUM($B$4:$B$6)*$H$3,B4)</f>
        <v>28.571428571428569</v>
      </c>
      <c r="C13">
        <f>MIN(P4/SUM($P$4:$P$6)*$H$3,P4)</f>
        <v>0</v>
      </c>
      <c r="D13" s="5">
        <f>D4/(B13*24*365)</f>
        <v>0.53938356164383572</v>
      </c>
      <c r="G13" s="6">
        <f>C13*$B$10</f>
        <v>0</v>
      </c>
      <c r="H13" s="6">
        <f>D13*B13*$C$10</f>
        <v>231.16438356164389</v>
      </c>
      <c r="I13" s="6">
        <f>B13*$E$10</f>
        <v>28.571428571428569</v>
      </c>
      <c r="K13" s="5">
        <f>IF(O4="Conventional Carbon",D13,1)</f>
        <v>1</v>
      </c>
      <c r="L13" s="2">
        <f>MIN((K13*B4/SUMPRODUCT($K$13:$K$15,$B$4:$B$6))*$H$3,K13*B4)</f>
        <v>28.054443554843871</v>
      </c>
      <c r="M13" s="6">
        <f>L13*$D$10</f>
        <v>336.65332265812646</v>
      </c>
      <c r="O13" s="7">
        <f>G13+H13+M13+I13</f>
        <v>596.3891347911989</v>
      </c>
    </row>
    <row r="14" spans="1:17" x14ac:dyDescent="0.35">
      <c r="A14" t="s">
        <v>1</v>
      </c>
      <c r="B14" s="2">
        <f t="shared" ref="B14:B15" si="2">IF(SUM($B$4:$B$6)&gt;$H$3,B5/SUM($B$4:$B$6)*$H$3,B5)</f>
        <v>22.857142857142854</v>
      </c>
      <c r="C14">
        <f t="shared" ref="C14:C15" si="3">MIN(P5/SUM($P$4:$P$6)*$H$3,P5)</f>
        <v>40</v>
      </c>
      <c r="D14" s="5">
        <f>D5/(B14*24*365)</f>
        <v>1.2485730593607309</v>
      </c>
      <c r="G14" s="6">
        <f t="shared" ref="G14:G15" si="4">C14*$B$10</f>
        <v>200</v>
      </c>
      <c r="H14" s="6">
        <f t="shared" ref="H14:H15" si="5">D14*B14*$C$10</f>
        <v>428.08219178082197</v>
      </c>
      <c r="I14" s="6">
        <f>B14*$E$10</f>
        <v>22.857142857142854</v>
      </c>
      <c r="K14" s="5">
        <f t="shared" ref="K14:K15" si="6">IF(O5="Conventional Carbon",D14,1)</f>
        <v>1.2485730593607309</v>
      </c>
      <c r="L14" s="2">
        <f t="shared" ref="L14:L15" si="7">MIN((K14*B5/SUMPRODUCT($K$13:$K$15,$B$4:$B$6))*$H$3,K14*B5)</f>
        <v>28.022417934347484</v>
      </c>
      <c r="M14" s="6">
        <f t="shared" ref="M14:M15" si="8">L14*$D$10</f>
        <v>336.26901521216979</v>
      </c>
      <c r="O14" s="7">
        <f>G14+H14+M14+I14</f>
        <v>987.20834985013471</v>
      </c>
    </row>
    <row r="15" spans="1:17" x14ac:dyDescent="0.35">
      <c r="A15" t="s">
        <v>2</v>
      </c>
      <c r="B15" s="2">
        <f t="shared" si="2"/>
        <v>8.5714285714285712</v>
      </c>
      <c r="C15">
        <f t="shared" si="3"/>
        <v>15</v>
      </c>
      <c r="D15" s="5">
        <f>IF(B6=0,0,(D6/(B15*24*365)))</f>
        <v>0.46613394216133941</v>
      </c>
      <c r="G15" s="6">
        <f t="shared" si="4"/>
        <v>75</v>
      </c>
      <c r="H15" s="6">
        <f t="shared" si="5"/>
        <v>59.931506849315063</v>
      </c>
      <c r="I15" s="6">
        <f>B15*$E$10</f>
        <v>8.5714285714285712</v>
      </c>
      <c r="K15" s="5">
        <f t="shared" si="6"/>
        <v>0.46613394216133941</v>
      </c>
      <c r="L15" s="2">
        <f t="shared" si="7"/>
        <v>3.9231385108086467</v>
      </c>
      <c r="M15" s="6">
        <f t="shared" si="8"/>
        <v>47.077662129703761</v>
      </c>
      <c r="O15" s="7">
        <f>G15+H15+M15+I15</f>
        <v>190.58059755044741</v>
      </c>
    </row>
    <row r="17" spans="1:15" x14ac:dyDescent="0.35">
      <c r="O17" s="7"/>
    </row>
    <row r="18" spans="1:15" x14ac:dyDescent="0.35">
      <c r="A18" t="s">
        <v>78</v>
      </c>
      <c r="B18" t="s">
        <v>53</v>
      </c>
      <c r="C18" t="s">
        <v>54</v>
      </c>
      <c r="D18" t="s">
        <v>75</v>
      </c>
      <c r="G18" t="s">
        <v>14</v>
      </c>
      <c r="H18" t="s">
        <v>15</v>
      </c>
      <c r="I18" t="s">
        <v>17</v>
      </c>
      <c r="K18" t="s">
        <v>26</v>
      </c>
      <c r="L18" t="s">
        <v>25</v>
      </c>
      <c r="M18" t="s">
        <v>16</v>
      </c>
    </row>
    <row r="19" spans="1:15" x14ac:dyDescent="0.35">
      <c r="A19" t="s">
        <v>0</v>
      </c>
      <c r="B19">
        <f>IF(SUM($E$4:$E$6)&gt;$H$4,E4/SUM($E$4:$E$6)*$H$4,E4)</f>
        <v>25.714285714285712</v>
      </c>
      <c r="C19">
        <f>MIN(P4/SUM($Q$4:$Q$6)*$H$3,Q4)</f>
        <v>0</v>
      </c>
      <c r="D19" s="20">
        <f>D13</f>
        <v>0.53938356164383572</v>
      </c>
      <c r="G19">
        <f>$B$10*C19</f>
        <v>0</v>
      </c>
      <c r="H19">
        <f>$C$10*B19*D19</f>
        <v>208.04794520547946</v>
      </c>
      <c r="I19">
        <f>$E$10*B19</f>
        <v>25.714285714285712</v>
      </c>
      <c r="K19" s="20">
        <f>K13</f>
        <v>1</v>
      </c>
      <c r="L19">
        <f>MIN((K19*E4/SUMPRODUCT($K$19:$K$21,$E$4:$E$6))*$H$4,K19*E4)</f>
        <v>25.248999199359485</v>
      </c>
      <c r="M19">
        <f>$D$10*L19</f>
        <v>302.9879903923138</v>
      </c>
    </row>
    <row r="20" spans="1:15" x14ac:dyDescent="0.35">
      <c r="A20" t="s">
        <v>1</v>
      </c>
      <c r="B20">
        <f t="shared" ref="B20:B21" si="9">IF(SUM($E$4:$E$6)&gt;$H$4,E5/SUM($E$4:$E$6)*$H$4,E5)</f>
        <v>20.571428571428569</v>
      </c>
      <c r="C20">
        <f t="shared" ref="C20:C21" si="10">MIN(P5/SUM($Q$4:$Q$6)*$H$3,Q5)</f>
        <v>36</v>
      </c>
      <c r="D20" s="20">
        <f t="shared" ref="D20:D21" si="11">D14</f>
        <v>1.2485730593607309</v>
      </c>
      <c r="G20">
        <f t="shared" ref="G20:G21" si="12">$B$10*C20</f>
        <v>180</v>
      </c>
      <c r="H20">
        <f t="shared" ref="H20:H21" si="13">$C$10*B20*D20</f>
        <v>385.27397260273983</v>
      </c>
      <c r="I20">
        <f t="shared" ref="I20:I21" si="14">$E$10*B20</f>
        <v>20.571428571428569</v>
      </c>
      <c r="K20" s="20">
        <f t="shared" ref="K20:K21" si="15">K14</f>
        <v>1.2485730593607309</v>
      </c>
      <c r="L20">
        <f t="shared" ref="L20:L21" si="16">MIN((K20*E5/SUMPRODUCT($K$19:$K$21,$E$4:$E$6))*$H$4,K20*E5)</f>
        <v>25.220176140912734</v>
      </c>
      <c r="M20">
        <f t="shared" ref="M20:M21" si="17">$D$10*L20</f>
        <v>302.64211369095278</v>
      </c>
    </row>
    <row r="21" spans="1:15" x14ac:dyDescent="0.35">
      <c r="A21" t="s">
        <v>2</v>
      </c>
      <c r="B21">
        <f t="shared" si="9"/>
        <v>7.7142857142857135</v>
      </c>
      <c r="C21">
        <f t="shared" si="10"/>
        <v>13.5</v>
      </c>
      <c r="D21" s="20">
        <f t="shared" si="11"/>
        <v>0.46613394216133941</v>
      </c>
      <c r="G21">
        <f t="shared" si="12"/>
        <v>67.5</v>
      </c>
      <c r="H21">
        <f t="shared" si="13"/>
        <v>53.938356164383556</v>
      </c>
      <c r="I21">
        <f t="shared" si="14"/>
        <v>7.7142857142857135</v>
      </c>
      <c r="K21" s="20">
        <f t="shared" si="15"/>
        <v>0.46613394216133941</v>
      </c>
      <c r="L21">
        <f t="shared" si="16"/>
        <v>3.5308246597277817</v>
      </c>
      <c r="M21">
        <f t="shared" si="17"/>
        <v>42.369895916733384</v>
      </c>
    </row>
    <row r="24" spans="1:15" x14ac:dyDescent="0.35">
      <c r="A24" t="s">
        <v>76</v>
      </c>
      <c r="B24" t="s">
        <v>28</v>
      </c>
      <c r="C24" t="s">
        <v>19</v>
      </c>
      <c r="D24" t="s">
        <v>20</v>
      </c>
      <c r="E24" t="s">
        <v>10</v>
      </c>
    </row>
    <row r="25" spans="1:15" x14ac:dyDescent="0.35">
      <c r="A25" t="s">
        <v>22</v>
      </c>
      <c r="B25">
        <f>IF(B$10&gt;0,G13,G19)</f>
        <v>0</v>
      </c>
      <c r="C25">
        <f>IF(C$10&gt;0,H13,H19)</f>
        <v>231.16438356164389</v>
      </c>
      <c r="D25">
        <f>IF(D$10&gt;0,M13,M19)</f>
        <v>336.65332265812646</v>
      </c>
      <c r="E25">
        <f>IF(E$10&gt;0,I13,I19)</f>
        <v>28.571428571428569</v>
      </c>
    </row>
    <row r="26" spans="1:15" x14ac:dyDescent="0.35">
      <c r="A26" t="s">
        <v>23</v>
      </c>
      <c r="B26">
        <f t="shared" ref="B26:B27" si="18">IF(B$10&gt;0,G14,G20)</f>
        <v>200</v>
      </c>
      <c r="C26">
        <f t="shared" ref="C26:C27" si="19">IF(C$10&gt;0,H14,H20)</f>
        <v>428.08219178082197</v>
      </c>
      <c r="D26">
        <f t="shared" ref="D26:D27" si="20">IF(D$10&gt;0,M14,M20)</f>
        <v>336.26901521216979</v>
      </c>
      <c r="E26">
        <f t="shared" ref="E26:E27" si="21">IF(E$10&gt;0,I14,I20)</f>
        <v>22.857142857142854</v>
      </c>
    </row>
    <row r="27" spans="1:15" x14ac:dyDescent="0.35">
      <c r="A27" t="s">
        <v>24</v>
      </c>
      <c r="B27">
        <f t="shared" si="18"/>
        <v>75</v>
      </c>
      <c r="C27">
        <f t="shared" si="19"/>
        <v>59.931506849315063</v>
      </c>
      <c r="D27">
        <f t="shared" si="20"/>
        <v>47.077662129703761</v>
      </c>
      <c r="E27">
        <f t="shared" si="21"/>
        <v>8.5714285714285712</v>
      </c>
    </row>
    <row r="28" spans="1:15" x14ac:dyDescent="0.35">
      <c r="B28">
        <f>SUM(B25:B27)</f>
        <v>275</v>
      </c>
      <c r="C28">
        <f t="shared" ref="C28:E28" si="22">SUM(C25:C27)</f>
        <v>719.17808219178085</v>
      </c>
      <c r="D28">
        <f t="shared" si="22"/>
        <v>720</v>
      </c>
      <c r="E28">
        <f t="shared" si="22"/>
        <v>59.999999999999993</v>
      </c>
    </row>
    <row r="31" spans="1:15" x14ac:dyDescent="0.35">
      <c r="A31" s="1" t="s">
        <v>79</v>
      </c>
      <c r="B31">
        <f>SUM(B28:E28)</f>
        <v>1774.178082191781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152F7-5AEB-418E-AD24-5406D4D24878}">
  <dimension ref="B4:C18"/>
  <sheetViews>
    <sheetView workbookViewId="0">
      <selection activeCell="B4" sqref="B4:B18"/>
    </sheetView>
  </sheetViews>
  <sheetFormatPr defaultRowHeight="14.5" x14ac:dyDescent="0.35"/>
  <cols>
    <col min="2" max="2" width="11.6328125" customWidth="1"/>
  </cols>
  <sheetData>
    <row r="4" spans="2:3" x14ac:dyDescent="0.35">
      <c r="B4" t="s">
        <v>67</v>
      </c>
      <c r="C4" t="s">
        <v>61</v>
      </c>
    </row>
    <row r="5" spans="2:3" x14ac:dyDescent="0.35">
      <c r="B5" t="s">
        <v>62</v>
      </c>
      <c r="C5" t="s">
        <v>61</v>
      </c>
    </row>
    <row r="6" spans="2:3" x14ac:dyDescent="0.35">
      <c r="B6" t="s">
        <v>68</v>
      </c>
      <c r="C6" t="s">
        <v>61</v>
      </c>
    </row>
    <row r="7" spans="2:3" x14ac:dyDescent="0.35">
      <c r="B7" t="s">
        <v>6</v>
      </c>
      <c r="C7" t="s">
        <v>61</v>
      </c>
    </row>
    <row r="8" spans="2:3" x14ac:dyDescent="0.35">
      <c r="B8" t="s">
        <v>64</v>
      </c>
      <c r="C8" t="s">
        <v>61</v>
      </c>
    </row>
    <row r="9" spans="2:3" x14ac:dyDescent="0.35">
      <c r="B9" t="s">
        <v>60</v>
      </c>
      <c r="C9" t="s">
        <v>58</v>
      </c>
    </row>
    <row r="10" spans="2:3" x14ac:dyDescent="0.35">
      <c r="B10" t="s">
        <v>59</v>
      </c>
      <c r="C10" t="s">
        <v>58</v>
      </c>
    </row>
    <row r="11" spans="2:3" x14ac:dyDescent="0.35">
      <c r="B11" t="s">
        <v>63</v>
      </c>
      <c r="C11" t="s">
        <v>61</v>
      </c>
    </row>
    <row r="12" spans="2:3" x14ac:dyDescent="0.35">
      <c r="B12" t="s">
        <v>70</v>
      </c>
      <c r="C12" t="s">
        <v>55</v>
      </c>
    </row>
    <row r="13" spans="2:3" x14ac:dyDescent="0.35">
      <c r="B13" t="s">
        <v>65</v>
      </c>
      <c r="C13" t="s">
        <v>61</v>
      </c>
    </row>
    <row r="14" spans="2:3" x14ac:dyDescent="0.35">
      <c r="B14" t="s">
        <v>71</v>
      </c>
      <c r="C14" t="s">
        <v>55</v>
      </c>
    </row>
    <row r="15" spans="2:3" x14ac:dyDescent="0.35">
      <c r="B15" t="s">
        <v>66</v>
      </c>
      <c r="C15" t="s">
        <v>61</v>
      </c>
    </row>
    <row r="16" spans="2:3" x14ac:dyDescent="0.35">
      <c r="B16" t="s">
        <v>69</v>
      </c>
      <c r="C16" t="s">
        <v>61</v>
      </c>
    </row>
    <row r="17" spans="2:3" x14ac:dyDescent="0.35">
      <c r="B17" t="s">
        <v>57</v>
      </c>
      <c r="C17" t="s">
        <v>55</v>
      </c>
    </row>
    <row r="18" spans="2:3" x14ac:dyDescent="0.35">
      <c r="B18" t="s">
        <v>56</v>
      </c>
      <c r="C18" t="s">
        <v>55</v>
      </c>
    </row>
  </sheetData>
  <sortState xmlns:xlrd2="http://schemas.microsoft.com/office/spreadsheetml/2017/richdata2" ref="B4:C18">
    <sortCondition ref="B4:B18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dce026-d35b-4a62-a2ee-1436bb44fb55" xsi:nil="true"/>
    <lcf76f155ced4ddcb4097134ff3c332f xmlns="f71abe4e-f5ff-49cd-8eff-5f4949acc51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D902CA-3705-43FD-A2FA-6792E8EE024B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2da89b17-aba4-44fc-a2b2-cd16bb399a0c"/>
    <ds:schemaRef ds:uri="http://purl.org/dc/dcmitype/"/>
    <ds:schemaRef ds:uri="http://schemas.openxmlformats.org/package/2006/metadata/core-properties"/>
    <ds:schemaRef ds:uri="7b2ed3cc-027b-4def-ac45-32e72b7c0c82"/>
    <ds:schemaRef ds:uri="http://www.w3.org/XML/1998/namespace"/>
    <ds:schemaRef ds:uri="http://purl.org/dc/elements/1.1/"/>
    <ds:schemaRef ds:uri="cadce026-d35b-4a62-a2ee-1436bb44fb55"/>
    <ds:schemaRef ds:uri="f71abe4e-f5ff-49cd-8eff-5f4949acc510"/>
  </ds:schemaRefs>
</ds:datastoreItem>
</file>

<file path=customXml/itemProps2.xml><?xml version="1.0" encoding="utf-8"?>
<ds:datastoreItem xmlns:ds="http://schemas.openxmlformats.org/officeDocument/2006/customXml" ds:itemID="{15E029C7-F259-4C62-9881-D6329570F7E8}"/>
</file>

<file path=customXml/itemProps3.xml><?xml version="1.0" encoding="utf-8"?>
<ds:datastoreItem xmlns:ds="http://schemas.openxmlformats.org/officeDocument/2006/customXml" ds:itemID="{927241BE-C1D3-4944-A356-13602A1E4C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New methodology WACM1</vt:lpstr>
      <vt:lpstr>WACM1 old methodology</vt:lpstr>
      <vt:lpstr>Technology 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Cahill, Martin</dc:creator>
  <cp:lastModifiedBy>Martin Cahill (NESO)</cp:lastModifiedBy>
  <dcterms:created xsi:type="dcterms:W3CDTF">2023-11-24T09:12:10Z</dcterms:created>
  <dcterms:modified xsi:type="dcterms:W3CDTF">2025-03-26T11:15:27Z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  <property fmtid="{D5CDD505-2E9C-101B-9397-08002B2CF9AE}" pid="4" name="MSIP_Label_990c0be1-bb3d-41f4-a01f-ac7e5848c08e_Enabled">
    <vt:lpwstr>true</vt:lpwstr>
  </property>
  <property fmtid="{D5CDD505-2E9C-101B-9397-08002B2CF9AE}" pid="5" name="MSIP_Label_990c0be1-bb3d-41f4-a01f-ac7e5848c08e_SetDate">
    <vt:lpwstr>2024-01-22T12:23:06Z</vt:lpwstr>
  </property>
  <property fmtid="{D5CDD505-2E9C-101B-9397-08002B2CF9AE}" pid="6" name="MSIP_Label_990c0be1-bb3d-41f4-a01f-ac7e5848c08e_Method">
    <vt:lpwstr>Standard</vt:lpwstr>
  </property>
  <property fmtid="{D5CDD505-2E9C-101B-9397-08002B2CF9AE}" pid="7" name="MSIP_Label_990c0be1-bb3d-41f4-a01f-ac7e5848c08e_Name">
    <vt:lpwstr>Restricted</vt:lpwstr>
  </property>
  <property fmtid="{D5CDD505-2E9C-101B-9397-08002B2CF9AE}" pid="8" name="MSIP_Label_990c0be1-bb3d-41f4-a01f-ac7e5848c08e_SiteId">
    <vt:lpwstr>812b1e72-2671-4a1e-bc3f-0519db4e3723</vt:lpwstr>
  </property>
  <property fmtid="{D5CDD505-2E9C-101B-9397-08002B2CF9AE}" pid="9" name="MSIP_Label_990c0be1-bb3d-41f4-a01f-ac7e5848c08e_ActionId">
    <vt:lpwstr>49e32158-e94b-4398-86b9-9a796ece1124</vt:lpwstr>
  </property>
  <property fmtid="{D5CDD505-2E9C-101B-9397-08002B2CF9AE}" pid="10" name="MSIP_Label_990c0be1-bb3d-41f4-a01f-ac7e5848c08e_ContentBits">
    <vt:lpwstr>0</vt:lpwstr>
  </property>
</Properties>
</file>